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Inputs" sheetId="2" state="visible" r:id="rId4"/>
    <sheet name="KPIs" sheetId="3" state="visible" r:id="rId5"/>
    <sheet name="Not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<sst xmlns="http://schemas.openxmlformats.org/spreadsheetml/2006/main" count="205" uniqueCount="189">
  <si>
    <t xml:space="preserve">Retail KPI Formulas Workbook</t>
  </si>
  <si>
    <t xml:space="preserve">Retail Operations Toolkit  |  SMARTER DECISIONS. BETTER RETAIL.</t>
  </si>
  <si>
    <t xml:space="preserve">retailopstoolkit.com/resources/retail-kpi-cheat-sheet</t>
  </si>
  <si>
    <t xml:space="preserve">What this is</t>
  </si>
  <si>
    <t xml:space="preserve">21 retail KPIs, each calculated live from the same 18 base figures.</t>
  </si>
  <si>
    <t xml:space="preserve">Change a figure on Inputs and every metric on KPIs recalculates.</t>
  </si>
  <si>
    <t xml:space="preserve">How to use it</t>
  </si>
  <si>
    <t xml:space="preserve">1. On Inputs, type your figures into the blue cells. Those are the only cells you edit.</t>
  </si>
  <si>
    <t xml:space="preserve">2. Read the results on KPIs. Nothing there is typed in. Every value is a formula.</t>
  </si>
  <si>
    <t xml:space="preserve">3. Notes explains the three input mistakes that produce plausible wrong answers.</t>
  </si>
  <si>
    <t xml:space="preserve">Legend</t>
  </si>
  <si>
    <t xml:space="preserve">Blue on cream = an input you type. Black = a formula, do not overwrite. Grey = derived.</t>
  </si>
  <si>
    <t xml:space="preserve">The sample data</t>
  </si>
  <si>
    <t xml:space="preserve">Pre-filled with a full year for Northgate Home, an illustrative store, not a real retailer.</t>
  </si>
  <si>
    <t xml:space="preserve">It matches the published page, and KPIs checks that: 'Page value' is the figure printed on</t>
  </si>
  <si>
    <t xml:space="preserve">the page and 'Match' compares the two. Every row should read OK before you trust an edit.</t>
  </si>
  <si>
    <t xml:space="preserve">Compatibility</t>
  </si>
  <si>
    <t xml:space="preserve">No macros. Opens and recalculates in Excel, Google Sheets, LibreOffice and Numbers.</t>
  </si>
  <si>
    <t xml:space="preserve">Google Sheets: File, Import, Upload, then Replace spreadsheet.</t>
  </si>
  <si>
    <t xml:space="preserve">Before you start</t>
  </si>
  <si>
    <t xml:space="preserve">Most retail math errors are denominator errors, not arithmetic errors. Margin divides the</t>
  </si>
  <si>
    <t xml:space="preserve">gross margin dollars by net sales, markup divides the same dollars by cost. Every formula on</t>
  </si>
  <si>
    <t xml:space="preserve">KPIs prints its own denominator so you can see what it divided by.</t>
  </si>
  <si>
    <t xml:space="preserve">Reviewed by Bhanu Prakash</t>
  </si>
  <si>
    <t xml:space="preserve">Free to use and share. Please keep this credit line.</t>
  </si>
  <si>
    <t xml:space="preserve">Inputs</t>
  </si>
  <si>
    <t xml:space="preserve">Type your own figures into the blue cells. Nothing else on this sheet needs touching.</t>
  </si>
  <si>
    <t xml:space="preserve">Input</t>
  </si>
  <si>
    <t xml:space="preserve">Value</t>
  </si>
  <si>
    <t xml:space="preserve">Unit</t>
  </si>
  <si>
    <t xml:space="preserve">What the figure means</t>
  </si>
  <si>
    <t xml:space="preserve">Net sales</t>
  </si>
  <si>
    <t xml:space="preserve">currency</t>
  </si>
  <si>
    <t xml:space="preserve">Sales after returns, discounts and allowances. Exclude sales tax.</t>
  </si>
  <si>
    <t xml:space="preserve">Cost of goods sold</t>
  </si>
  <si>
    <t xml:space="preserve">Landed cost of the units actually sold. Not the cost of what you bought.</t>
  </si>
  <si>
    <t xml:space="preserve">Beginning inventory at cost</t>
  </si>
  <si>
    <t xml:space="preserve">Cost value on the first day of the period.</t>
  </si>
  <si>
    <t xml:space="preserve">Ending inventory at cost</t>
  </si>
  <si>
    <t xml:space="preserve">Cost value on the last day of the period.</t>
  </si>
  <si>
    <t xml:space="preserve">Markdowns taken</t>
  </si>
  <si>
    <t xml:space="preserve">Permanent and promotional markdowns at retail value, same period.</t>
  </si>
  <si>
    <t xml:space="preserve">Payroll cost</t>
  </si>
  <si>
    <t xml:space="preserve">Wages plus payroll taxes and benefits, for store staff.</t>
  </si>
  <si>
    <t xml:space="preserve">Shrink at retail</t>
  </si>
  <si>
    <t xml:space="preserve">Gap between book and counted inventory, valued at retail.</t>
  </si>
  <si>
    <t xml:space="preserve">Selling area</t>
  </si>
  <si>
    <t xml:space="preserve">sq ft</t>
  </si>
  <si>
    <t xml:space="preserve">Selling floor only. Exclude stockroom, offices and back of house.</t>
  </si>
  <si>
    <t xml:space="preserve">Transactions</t>
  </si>
  <si>
    <t xml:space="preserve">count</t>
  </si>
  <si>
    <t xml:space="preserve">Completed sales transactions, not line items.</t>
  </si>
  <si>
    <t xml:space="preserve">Units sold</t>
  </si>
  <si>
    <t xml:space="preserve">units</t>
  </si>
  <si>
    <t xml:space="preserve">Total units across all transactions.</t>
  </si>
  <si>
    <t xml:space="preserve">Units available</t>
  </si>
  <si>
    <t xml:space="preserve">Opening units plus units received. Not just units received.</t>
  </si>
  <si>
    <t xml:space="preserve">Store traffic</t>
  </si>
  <si>
    <t xml:space="preserve">Entries counted at the door, not web sessions.</t>
  </si>
  <si>
    <t xml:space="preserve">Average FTE</t>
  </si>
  <si>
    <t xml:space="preserve">Full-time equivalents, not headcount. Two half-timers are one FTE.</t>
  </si>
  <si>
    <t xml:space="preserve">Purchase orders received</t>
  </si>
  <si>
    <t xml:space="preserve">Inbound orders closed in the period.</t>
  </si>
  <si>
    <t xml:space="preserve">Orders on time and in full</t>
  </si>
  <si>
    <t xml:space="preserve">Orders meeting both conditions. Failing either one does not count.</t>
  </si>
  <si>
    <t xml:space="preserve">Order lines requested</t>
  </si>
  <si>
    <t xml:space="preserve">Total lines across all inbound orders.</t>
  </si>
  <si>
    <t xml:space="preserve">Order lines shipped complete</t>
  </si>
  <si>
    <t xml:space="preserve">Lines delivered at the full requested quantity.</t>
  </si>
  <si>
    <t xml:space="preserve">Days in period</t>
  </si>
  <si>
    <t xml:space="preserve">days</t>
  </si>
  <si>
    <t xml:space="preserve">365 for a year, 91 for a quarter, 28 or 30 for a month.</t>
  </si>
  <si>
    <t xml:space="preserve">Derived from the figures above</t>
  </si>
  <si>
    <t xml:space="preserve">Average inventory at cost</t>
  </si>
  <si>
    <t xml:space="preserve">Two-point average. For a quarter with a peak, or a single month, a thirteen-point average is better.</t>
  </si>
  <si>
    <t xml:space="preserve">Gross margin dollars</t>
  </si>
  <si>
    <t xml:space="preserve">Net sales minus cost of goods sold. The spread that every margin and markup percentage divides.</t>
  </si>
  <si>
    <t xml:space="preserve">KPIs</t>
  </si>
  <si>
    <t xml:space="preserve">Every value below is a formula computed from the Inputs sheet. Nothing here is typed in.</t>
  </si>
  <si>
    <t xml:space="preserve">Metric</t>
  </si>
  <si>
    <t xml:space="preserve">Result</t>
  </si>
  <si>
    <t xml:space="preserve">Formula, and what it divides by</t>
  </si>
  <si>
    <t xml:space="preserve">Page value</t>
  </si>
  <si>
    <t xml:space="preserve">Match</t>
  </si>
  <si>
    <t xml:space="preserve">What the input actually means</t>
  </si>
  <si>
    <t xml:space="preserve">Sales and margin</t>
  </si>
  <si>
    <t xml:space="preserve">Gross margin $</t>
  </si>
  <si>
    <t xml:space="preserve">Net Sales - COGS</t>
  </si>
  <si>
    <t xml:space="preserve">COGS is the cost of units sold, not units bought.</t>
  </si>
  <si>
    <t xml:space="preserve">Gross margin %</t>
  </si>
  <si>
    <t xml:space="preserve">Gross Margin $ / Net Sales      (divides by SALES)</t>
  </si>
  <si>
    <t xml:space="preserve">Denominator is sales. This is the accounting convention.</t>
  </si>
  <si>
    <t xml:space="preserve">Markup % on cost</t>
  </si>
  <si>
    <t xml:space="preserve">Gross Margin $ / COGS      (divides by COST)</t>
  </si>
  <si>
    <t xml:space="preserve">Denominator is cost. Same spread, different base.</t>
  </si>
  <si>
    <t xml:space="preserve">Markdown rate %</t>
  </si>
  <si>
    <t xml:space="preserve">Markdowns / Net Sales</t>
  </si>
  <si>
    <t xml:space="preserve">Markdowns at retail value, sales net of them.</t>
  </si>
  <si>
    <t xml:space="preserve">Average transaction value</t>
  </si>
  <si>
    <t xml:space="preserve">Net Sales / Transactions</t>
  </si>
  <si>
    <t xml:space="preserve">Transactions, not line items.</t>
  </si>
  <si>
    <t xml:space="preserve">Units per transaction</t>
  </si>
  <si>
    <t xml:space="preserve">Units Sold / Transactions</t>
  </si>
  <si>
    <t xml:space="preserve">Same denominator as average transaction value.</t>
  </si>
  <si>
    <t xml:space="preserve">Conversion rate %</t>
  </si>
  <si>
    <t xml:space="preserve">Transactions / Traffic</t>
  </si>
  <si>
    <t xml:space="preserve">Traffic is door entries, not web sessions.</t>
  </si>
  <si>
    <t xml:space="preserve">Sales per square foot</t>
  </si>
  <si>
    <t xml:space="preserve">Net Sales / Selling Area</t>
  </si>
  <si>
    <t xml:space="preserve">Selling floor only, stockroom excluded.</t>
  </si>
  <si>
    <t xml:space="preserve">Sales per employee</t>
  </si>
  <si>
    <t xml:space="preserve">Net Sales / Average FTE</t>
  </si>
  <si>
    <t xml:space="preserve">FTE, not headcount.</t>
  </si>
  <si>
    <t xml:space="preserve">Inventory</t>
  </si>
  <si>
    <t xml:space="preserve">Inventory turnover</t>
  </si>
  <si>
    <t xml:space="preserve">COGS / Average Inventory at Cost</t>
  </si>
  <si>
    <t xml:space="preserve">Both sides at cost. Never mix a cost turn with a retail turn.</t>
  </si>
  <si>
    <t xml:space="preserve">Days inventory outstanding</t>
  </si>
  <si>
    <t xml:space="preserve">Days in Period / Inventory Turnover</t>
  </si>
  <si>
    <t xml:space="preserve">The reciprocal of turnover, scaled to the period.</t>
  </si>
  <si>
    <t xml:space="preserve">GMROI</t>
  </si>
  <si>
    <t xml:space="preserve">Gross Margin $ / Average Inventory at Cost</t>
  </si>
  <si>
    <t xml:space="preserve">Margin at retail over inventory at cost, deliberately.</t>
  </si>
  <si>
    <t xml:space="preserve">Sell-through rate %</t>
  </si>
  <si>
    <t xml:space="preserve">Units Sold / Units Available</t>
  </si>
  <si>
    <t xml:space="preserve">Available is opening plus received, not just received.</t>
  </si>
  <si>
    <t xml:space="preserve">Average inventory at retail</t>
  </si>
  <si>
    <t xml:space="preserve">Avg Inventory at Cost / (1 - Gross Margin %)</t>
  </si>
  <si>
    <t xml:space="preserve">The cost complement converts one basis to the other.</t>
  </si>
  <si>
    <t xml:space="preserve">Stock-to-sales ratio, monthly</t>
  </si>
  <si>
    <t xml:space="preserve">Avg Inventory at Retail / Monthly Sales</t>
  </si>
  <si>
    <t xml:space="preserve">Both sides at retail. Mixing bases is the usual error.</t>
  </si>
  <si>
    <t xml:space="preserve">Weeks of supply</t>
  </si>
  <si>
    <t xml:space="preserve">Avg Inventory at Retail / Weekly Sales</t>
  </si>
  <si>
    <t xml:space="preserve">The same ratio as stock-to-sales on a weekly clock.</t>
  </si>
  <si>
    <t xml:space="preserve">Cost and loss</t>
  </si>
  <si>
    <t xml:space="preserve">Cost complement %</t>
  </si>
  <si>
    <t xml:space="preserve">COGS / Net Sales</t>
  </si>
  <si>
    <t xml:space="preserve">Simply 100% minus gross margin %.</t>
  </si>
  <si>
    <t xml:space="preserve">Shrink rate %</t>
  </si>
  <si>
    <t xml:space="preserve">Shrink at Retail / Net Sales</t>
  </si>
  <si>
    <t xml:space="preserve">Both at retail. A cost-valued shrink over retail sales understates it.</t>
  </si>
  <si>
    <t xml:space="preserve">Labor cost %</t>
  </si>
  <si>
    <t xml:space="preserve">Payroll / Net Sales</t>
  </si>
  <si>
    <t xml:space="preserve">Payroll including taxes and benefits.</t>
  </si>
  <si>
    <t xml:space="preserve">Supply</t>
  </si>
  <si>
    <t xml:space="preserve">OTIF %</t>
  </si>
  <si>
    <t xml:space="preserve">Orders On Time AND In Full / Total Orders</t>
  </si>
  <si>
    <t xml:space="preserve">An order failing either condition fails both.</t>
  </si>
  <si>
    <t xml:space="preserve">Fill rate %</t>
  </si>
  <si>
    <t xml:space="preserve">Lines Shipped Complete / Lines Requested</t>
  </si>
  <si>
    <t xml:space="preserve">Line level, which is why it reads higher than OTIF.</t>
  </si>
  <si>
    <t xml:space="preserve">GMROI decomposition</t>
  </si>
  <si>
    <t xml:space="preserve">Margin factor</t>
  </si>
  <si>
    <t xml:space="preserve">Margin % / (1 - Margin %)</t>
  </si>
  <si>
    <t xml:space="preserve">If this factor is the short one, GMROI is a pricing or sourcing conversation.</t>
  </si>
  <si>
    <t xml:space="preserve">Turnover factor</t>
  </si>
  <si>
    <t xml:space="preserve">If this factor is the short one, GMROI is an assortment or replenishment conversation.</t>
  </si>
  <si>
    <t xml:space="preserve">Margin factor x Turnover</t>
  </si>
  <si>
    <t xml:space="preserve">Equals GMROI exactly. That identity is the whole decision framework.</t>
  </si>
  <si>
    <t xml:space="preserve">Two stores can post the same GMROI from opposite operating models.</t>
  </si>
  <si>
    <t xml:space="preserve">Every figure above is a formula referencing the Inputs sheet. Change an input and this sheet recalculates.</t>
  </si>
  <si>
    <t xml:space="preserve">'Page value' is the figure as printed on retailopstoolkit.com/resources/retail-kpi-cheat-sheet for the same dataset. It is here so you can confirm the workbook agrees with the page.</t>
  </si>
  <si>
    <t xml:space="preserve">The three denominator traps</t>
  </si>
  <si>
    <t xml:space="preserve">Each one produces a plausible number that is wrong. None of them raises an error anywhere.</t>
  </si>
  <si>
    <t xml:space="preserve">Trap 1</t>
  </si>
  <si>
    <t xml:space="preserve">Margin against sales, reported as markup</t>
  </si>
  <si>
    <t xml:space="preserve">$626,240 against sales of $1,648,000 is a 38.0% margin. The same spread against cost of $1,021,760</t>
  </si>
  <si>
    <t xml:space="preserve">is a 61.3% markup. A buyer protecting the 38 by buying at 38% markup lands at 0.38 / 1.38 = 27.5%,</t>
  </si>
  <si>
    <t xml:space="preserve">which is 10.5 margin points below target on every unit. Convert before the buy, not after:</t>
  </si>
  <si>
    <t xml:space="preserve">Markup = Margin / (1 - Margin).</t>
  </si>
  <si>
    <t xml:space="preserve">Trap 2</t>
  </si>
  <si>
    <t xml:space="preserve">Ending inventory in place of average</t>
  </si>
  <si>
    <t xml:space="preserve">Ending inventory of $242,000 rather than average of $255,000 reads turnover as 4.22 instead of 4.01,</t>
  </si>
  <si>
    <t xml:space="preserve">and GMROI as $2.59 instead of $2.46. Both overstate by 5.4%. It flatters hardest in periods that</t>
  </si>
  <si>
    <t xml:space="preserve">closed with a drawdown, usually the periods that went badly. Change the input and watch them move.</t>
  </si>
  <si>
    <t xml:space="preserve">Trap 3</t>
  </si>
  <si>
    <t xml:space="preserve">Comparing a cost-basis turn to a retail-basis turn</t>
  </si>
  <si>
    <t xml:space="preserve">Both return 4.01 here only because one uniform cost complement converted one side to the other.</t>
  </si>
  <si>
    <t xml:space="preserve">The agreement is arithmetic, not validation. They separate as soon as realized margin differs from</t>
  </si>
  <si>
    <t xml:space="preserve">the assumed complement, which markdowns guarantee. Write the basis on the report.</t>
  </si>
  <si>
    <t xml:space="preserve">On benchmarks</t>
  </si>
  <si>
    <t xml:space="preserve">No authoritative public dataset of retail GMROI, sell-through or stock-to-sales benchmarks by category</t>
  </si>
  <si>
    <t xml:space="preserve">exists. The ranges that circulate come from vendor blogs and cannot be traced to a source, so this</t>
  </si>
  <si>
    <t xml:space="preserve">workbook prints none. Gross margin is the exception: retailopstoolkit.com/benchmarks/gross-margin draws</t>
  </si>
  <si>
    <t xml:space="preserve">on NYU Stern's margins-by-sector dataset, which is real and citable.</t>
  </si>
  <si>
    <t xml:space="preserve">GMROI below $1.00 is the one definitional statement: across the period the inventory returned less</t>
  </si>
  <si>
    <t xml:space="preserve">gross margin than the average capital tied up in it. Above that, adequacy depends on your carrying</t>
  </si>
  <si>
    <t xml:space="preserve">cost, cost of capital and markdown exposure. Compare against your own prior period.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</si>
</sst>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"/>
    <numFmt numFmtId="166" formatCode="#,##0"/>
    <numFmt numFmtId="167" formatCode="#,##0.0"/>
    <numFmt numFmtId="168" formatCode="0.0%"/>
    <numFmt numFmtId="169" formatCode="0.00%"/>
    <numFmt numFmtId="170" formatCode="\$#,##0.00"/>
    <numFmt numFmtId="171" formatCode="0.00"/>
    <numFmt numFmtId="172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B2E"/>
      <name val="Arial"/>
      <family val="0"/>
      <charset val="1"/>
    </font>
    <font>
      <b val="true"/>
      <sz val="10"/>
      <color rgb="FFF97316"/>
      <name val="Arial"/>
      <family val="0"/>
      <charset val="1"/>
    </font>
    <font>
      <sz val="9"/>
      <color rgb="FF475569"/>
      <name val="Arial"/>
      <family val="0"/>
      <charset val="1"/>
    </font>
    <font>
      <b val="true"/>
      <sz val="11"/>
      <color rgb="FF0F1B2E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33415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F1B2E"/>
        <bgColor rgb="FF000000"/>
      </patternFill>
    </fill>
    <fill>
      <patternFill patternType="solid">
        <fgColor rgb="FFFFF7ED"/>
        <bgColor rgb="FFFFFFFF"/>
      </patternFill>
    </fill>
    <fill>
      <patternFill patternType="solid">
        <fgColor rgb="FFF1F5F9"/>
        <bgColor rgb="FFFFF7ED"/>
      </patternFill>
    </fill>
    <fill>
      <patternFill patternType="solid">
        <fgColor rgb="FF0EA5E9"/>
        <bgColor rgb="FF33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D"/>
      <rgbColor rgb="FFF1F5F9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EA5E9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97316"/>
      <rgbColor rgb="FF475569"/>
      <rgbColor rgb="FF969696"/>
      <rgbColor rgb="FF003366"/>
      <rgbColor rgb="FF339966"/>
      <rgbColor rgb="FF0F1B2E"/>
      <rgbColor rgb="FF333300"/>
      <rgbColor rgb="FF993300"/>
      <rgbColor rgb="FF993366"/>
      <rgbColor rgb="FF333399"/>
      <rgbColor rgb="FF334155"/>
    </indexedColors>
  </colors>
</styleSheet>
</file>

<file path=xl/_rels/workbook.xml.rels><?xml version="1.0" encoding="UTF-8"?>
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96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13.5" hidden="false" customHeight="true" outlineLevel="0" collapsed="false">
      <c r="C7" s="5" t="s">
        <v>4</v>
      </c>
    </row>
    <row r="8" customFormat="false" ht="13.5" hidden="false" customHeight="true" outlineLevel="0" collapsed="false">
      <c r="C8" s="5" t="s">
        <v>5</v>
      </c>
    </row>
    <row r="10" customFormat="false" ht="15" hidden="false" customHeight="false" outlineLevel="0" collapsed="false">
      <c r="B10" s="4" t="s">
        <v>6</v>
      </c>
    </row>
    <row r="11" customFormat="false" ht="13.5" hidden="false" customHeight="true" outlineLevel="0" collapsed="false">
      <c r="C11" s="5" t="s">
        <v>7</v>
      </c>
    </row>
    <row r="12" customFormat="false" ht="13.5" hidden="false" customHeight="true" outlineLevel="0" collapsed="false">
      <c r="C12" s="5" t="s">
        <v>8</v>
      </c>
    </row>
    <row r="13" customFormat="false" ht="13.5" hidden="false" customHeight="true" outlineLevel="0" collapsed="false">
      <c r="C13" s="5" t="s">
        <v>9</v>
      </c>
    </row>
    <row r="15" customFormat="false" ht="15" hidden="false" customHeight="false" outlineLevel="0" collapsed="false">
      <c r="B15" s="4" t="s">
        <v>10</v>
      </c>
    </row>
    <row r="16" customFormat="false" ht="13.5" hidden="false" customHeight="true" outlineLevel="0" collapsed="false">
      <c r="C16" s="5" t="s">
        <v>11</v>
      </c>
    </row>
    <row r="18" customFormat="false" ht="15" hidden="false" customHeight="false" outlineLevel="0" collapsed="false">
      <c r="B18" s="4" t="s">
        <v>12</v>
      </c>
    </row>
    <row r="19" customFormat="false" ht="13.5" hidden="false" customHeight="true" outlineLevel="0" collapsed="false">
      <c r="C19" s="5" t="s">
        <v>13</v>
      </c>
    </row>
    <row r="20" customFormat="false" ht="13.5" hidden="false" customHeight="true" outlineLevel="0" collapsed="false">
      <c r="C20" s="5" t="s">
        <v>14</v>
      </c>
    </row>
    <row r="21" customFormat="false" ht="13.5" hidden="false" customHeight="true" outlineLevel="0" collapsed="false">
      <c r="C21" s="5" t="s">
        <v>15</v>
      </c>
    </row>
    <row r="23" customFormat="false" ht="15" hidden="false" customHeight="false" outlineLevel="0" collapsed="false">
      <c r="B23" s="4" t="s">
        <v>16</v>
      </c>
    </row>
    <row r="24" customFormat="false" ht="13.5" hidden="false" customHeight="true" outlineLevel="0" collapsed="false">
      <c r="C24" s="5" t="s">
        <v>17</v>
      </c>
    </row>
    <row r="25" customFormat="false" ht="13.5" hidden="false" customHeight="true" outlineLevel="0" collapsed="false">
      <c r="C25" s="5" t="s">
        <v>18</v>
      </c>
    </row>
    <row r="27" customFormat="false" ht="15" hidden="false" customHeight="false" outlineLevel="0" collapsed="false">
      <c r="B27" s="4" t="s">
        <v>19</v>
      </c>
    </row>
    <row r="28" customFormat="false" ht="13.5" hidden="false" customHeight="true" outlineLevel="0" collapsed="false">
      <c r="C28" s="5" t="s">
        <v>20</v>
      </c>
    </row>
    <row r="29" customFormat="false" ht="13.5" hidden="false" customHeight="true" outlineLevel="0" collapsed="false">
      <c r="C29" s="5" t="s">
        <v>21</v>
      </c>
    </row>
    <row r="30" customFormat="false" ht="13.5" hidden="false" customHeight="true" outlineLevel="0" collapsed="false">
      <c r="C30" s="5" t="s">
        <v>22</v>
      </c>
    </row>
    <row r="32" customFormat="false" ht="15" hidden="false" customHeight="false" outlineLevel="0" collapsed="false">
      <c r="B32" s="3" t="s">
        <v>23</v>
      </c>
    </row>
    <row r="33" customFormat="false" ht="15" hidden="false" customHeight="false" outlineLevel="0" collapsed="false">
      <c r="B33" s="3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62"/>
  </cols>
  <sheetData>
    <row r="2" customFormat="false" ht="17.35" hidden="false" customHeight="false" outlineLevel="0" collapsed="false">
      <c r="B2" s="1" t="s">
        <v>25</v>
      </c>
    </row>
    <row r="3" customFormat="false" ht="15" hidden="false" customHeight="false" outlineLevel="0" collapsed="false">
      <c r="B3" s="3" t="s">
        <v>26</v>
      </c>
    </row>
    <row r="5" customFormat="false" ht="19.5" hidden="false" customHeight="true" outlineLevel="0" collapsed="false">
      <c r="B5" s="6" t="s">
        <v>27</v>
      </c>
      <c r="C5" s="6" t="s">
        <v>28</v>
      </c>
      <c r="D5" s="6" t="s">
        <v>29</v>
      </c>
      <c r="E5" s="6" t="s">
        <v>30</v>
      </c>
    </row>
    <row r="6" customFormat="false" ht="74.6" hidden="false" customHeight="false" outlineLevel="0" collapsed="false">
      <c r="B6" s="7" t="s">
        <v>31</v>
      </c>
      <c r="C6" s="8" t="n">
        <v>1648000</v>
      </c>
      <c r="D6" s="9" t="s">
        <v>32</v>
      </c>
      <c r="E6" s="10" t="s">
        <v>33</v>
      </c>
    </row>
    <row r="7" customFormat="false" ht="85.05" hidden="false" customHeight="false" outlineLevel="0" collapsed="false">
      <c r="B7" s="7" t="s">
        <v>34</v>
      </c>
      <c r="C7" s="8" t="n">
        <v>1021760</v>
      </c>
      <c r="D7" s="9" t="s">
        <v>32</v>
      </c>
      <c r="E7" s="10" t="s">
        <v>35</v>
      </c>
    </row>
    <row r="8" customFormat="false" ht="43.25" hidden="false" customHeight="false" outlineLevel="0" collapsed="false">
      <c r="B8" s="7" t="s">
        <v>36</v>
      </c>
      <c r="C8" s="8" t="n">
        <v>268000</v>
      </c>
      <c r="D8" s="9" t="s">
        <v>32</v>
      </c>
      <c r="E8" s="10" t="s">
        <v>37</v>
      </c>
    </row>
    <row r="9" customFormat="false" ht="43.25" hidden="false" customHeight="false" outlineLevel="0" collapsed="false">
      <c r="B9" s="7" t="s">
        <v>38</v>
      </c>
      <c r="C9" s="8" t="n">
        <v>242000</v>
      </c>
      <c r="D9" s="9" t="s">
        <v>32</v>
      </c>
      <c r="E9" s="10" t="s">
        <v>39</v>
      </c>
    </row>
    <row r="10" customFormat="false" ht="95.5" hidden="false" customHeight="false" outlineLevel="0" collapsed="false">
      <c r="B10" s="7" t="s">
        <v>40</v>
      </c>
      <c r="C10" s="8" t="n">
        <v>103000</v>
      </c>
      <c r="D10" s="9" t="s">
        <v>32</v>
      </c>
      <c r="E10" s="10" t="s">
        <v>41</v>
      </c>
    </row>
    <row r="11" customFormat="false" ht="74.6" hidden="false" customHeight="false" outlineLevel="0" collapsed="false">
      <c r="B11" s="7" t="s">
        <v>42</v>
      </c>
      <c r="C11" s="8" t="n">
        <v>214240</v>
      </c>
      <c r="D11" s="9" t="s">
        <v>32</v>
      </c>
      <c r="E11" s="10" t="s">
        <v>43</v>
      </c>
    </row>
    <row r="12" customFormat="false" ht="74.6" hidden="false" customHeight="false" outlineLevel="0" collapsed="false">
      <c r="B12" s="7" t="s">
        <v>44</v>
      </c>
      <c r="C12" s="8" t="n">
        <v>24720</v>
      </c>
      <c r="D12" s="9" t="s">
        <v>32</v>
      </c>
      <c r="E12" s="10" t="s">
        <v>45</v>
      </c>
    </row>
    <row r="13" customFormat="false" ht="74.6" hidden="false" customHeight="false" outlineLevel="0" collapsed="false">
      <c r="B13" s="7" t="s">
        <v>46</v>
      </c>
      <c r="C13" s="11" t="n">
        <v>6400</v>
      </c>
      <c r="D13" s="9" t="s">
        <v>47</v>
      </c>
      <c r="E13" s="10" t="s">
        <v>48</v>
      </c>
    </row>
    <row r="14" customFormat="false" ht="53.7" hidden="false" customHeight="false" outlineLevel="0" collapsed="false">
      <c r="B14" s="7" t="s">
        <v>49</v>
      </c>
      <c r="C14" s="11" t="n">
        <v>41200</v>
      </c>
      <c r="D14" s="9" t="s">
        <v>50</v>
      </c>
      <c r="E14" s="10" t="s">
        <v>51</v>
      </c>
    </row>
    <row r="15" customFormat="false" ht="43.25" hidden="false" customHeight="false" outlineLevel="0" collapsed="false">
      <c r="B15" s="7" t="s">
        <v>52</v>
      </c>
      <c r="C15" s="11" t="n">
        <v>74160</v>
      </c>
      <c r="D15" s="9" t="s">
        <v>53</v>
      </c>
      <c r="E15" s="10" t="s">
        <v>54</v>
      </c>
    </row>
    <row r="16" customFormat="false" ht="74.6" hidden="false" customHeight="false" outlineLevel="0" collapsed="false">
      <c r="B16" s="7" t="s">
        <v>55</v>
      </c>
      <c r="C16" s="11" t="n">
        <v>88000</v>
      </c>
      <c r="D16" s="9" t="s">
        <v>53</v>
      </c>
      <c r="E16" s="10" t="s">
        <v>56</v>
      </c>
    </row>
    <row r="17" customFormat="false" ht="53.7" hidden="false" customHeight="false" outlineLevel="0" collapsed="false">
      <c r="B17" s="7" t="s">
        <v>57</v>
      </c>
      <c r="C17" s="11" t="n">
        <v>206000</v>
      </c>
      <c r="D17" s="9" t="s">
        <v>50</v>
      </c>
      <c r="E17" s="10" t="s">
        <v>58</v>
      </c>
    </row>
    <row r="18" customFormat="false" ht="74.6" hidden="false" customHeight="false" outlineLevel="0" collapsed="false">
      <c r="B18" s="7" t="s">
        <v>59</v>
      </c>
      <c r="C18" s="12" t="n">
        <v>16</v>
      </c>
      <c r="D18" s="9" t="s">
        <v>50</v>
      </c>
      <c r="E18" s="10" t="s">
        <v>60</v>
      </c>
    </row>
    <row r="19" customFormat="false" ht="43.25" hidden="false" customHeight="false" outlineLevel="0" collapsed="false">
      <c r="B19" s="7" t="s">
        <v>61</v>
      </c>
      <c r="C19" s="11" t="n">
        <v>1240</v>
      </c>
      <c r="D19" s="9" t="s">
        <v>50</v>
      </c>
      <c r="E19" s="10" t="s">
        <v>62</v>
      </c>
    </row>
    <row r="20" customFormat="false" ht="85.05" hidden="false" customHeight="false" outlineLevel="0" collapsed="false">
      <c r="B20" s="7" t="s">
        <v>63</v>
      </c>
      <c r="C20" s="11" t="n">
        <v>1104</v>
      </c>
      <c r="D20" s="9" t="s">
        <v>50</v>
      </c>
      <c r="E20" s="10" t="s">
        <v>64</v>
      </c>
    </row>
    <row r="21" customFormat="false" ht="43.25" hidden="false" customHeight="false" outlineLevel="0" collapsed="false">
      <c r="B21" s="7" t="s">
        <v>65</v>
      </c>
      <c r="C21" s="11" t="n">
        <v>9600</v>
      </c>
      <c r="D21" s="9" t="s">
        <v>50</v>
      </c>
      <c r="E21" s="10" t="s">
        <v>66</v>
      </c>
    </row>
    <row r="22" customFormat="false" ht="53.7" hidden="false" customHeight="false" outlineLevel="0" collapsed="false">
      <c r="B22" s="7" t="s">
        <v>67</v>
      </c>
      <c r="C22" s="11" t="n">
        <v>9168</v>
      </c>
      <c r="D22" s="9" t="s">
        <v>50</v>
      </c>
      <c r="E22" s="10" t="s">
        <v>68</v>
      </c>
    </row>
    <row r="23" customFormat="false" ht="64.15" hidden="false" customHeight="false" outlineLevel="0" collapsed="false">
      <c r="B23" s="7" t="s">
        <v>69</v>
      </c>
      <c r="C23" s="11" t="n">
        <v>365</v>
      </c>
      <c r="D23" s="9" t="s">
        <v>70</v>
      </c>
      <c r="E23" s="10" t="s">
        <v>71</v>
      </c>
    </row>
    <row r="25" customFormat="false" ht="15" hidden="false" customHeight="false" outlineLevel="0" collapsed="false">
      <c r="B25" s="4" t="s">
        <v>72</v>
      </c>
    </row>
    <row r="26" customFormat="false" ht="126.85" hidden="false" customHeight="false" outlineLevel="0" collapsed="false">
      <c r="B26" s="13" t="s">
        <v>73</v>
      </c>
      <c r="C26" s="14" t="n">
        <f aca="false">(Inputs!$C$8+Inputs!$C$9)/2</f>
        <v>255000</v>
      </c>
      <c r="D26" s="9" t="s">
        <v>32</v>
      </c>
      <c r="E26" s="10" t="s">
        <v>74</v>
      </c>
    </row>
    <row r="27" customFormat="false" ht="116.4" hidden="false" customHeight="false" outlineLevel="0" collapsed="false">
      <c r="B27" s="13" t="s">
        <v>75</v>
      </c>
      <c r="C27" s="14" t="n">
        <f aca="false">Inputs!$C$6-Inputs!$C$7</f>
        <v>626240</v>
      </c>
      <c r="D27" s="9" t="s">
        <v>32</v>
      </c>
      <c r="E27" s="10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5"/>
    <col collapsed="false" customWidth="true" hidden="false" outlineLevel="0" max="4" min="4" style="0" width="46"/>
    <col collapsed="false" customWidth="true" hidden="false" outlineLevel="0" max="5" min="5" style="0" width="15"/>
    <col collapsed="false" customWidth="true" hidden="false" outlineLevel="0" max="6" min="6" style="0" width="10"/>
    <col collapsed="false" customWidth="true" hidden="false" outlineLevel="0" max="7" min="7" style="0" width="40"/>
  </cols>
  <sheetData>
    <row r="2" customFormat="false" ht="17.35" hidden="false" customHeight="false" outlineLevel="0" collapsed="false">
      <c r="B2" s="1" t="s">
        <v>77</v>
      </c>
    </row>
    <row r="3" customFormat="false" ht="15" hidden="false" customHeight="false" outlineLevel="0" collapsed="false">
      <c r="B3" s="3" t="s">
        <v>78</v>
      </c>
    </row>
    <row r="5" customFormat="false" ht="19.5" hidden="false" customHeight="true" outlineLevel="0" collapsed="false">
      <c r="B5" s="6" t="s">
        <v>79</v>
      </c>
      <c r="C5" s="6" t="s">
        <v>80</v>
      </c>
      <c r="D5" s="6" t="s">
        <v>81</v>
      </c>
      <c r="E5" s="6" t="s">
        <v>82</v>
      </c>
      <c r="F5" s="6" t="s">
        <v>83</v>
      </c>
      <c r="G5" s="6" t="s">
        <v>84</v>
      </c>
    </row>
    <row r="6" customFormat="false" ht="15" hidden="false" customHeight="false" outlineLevel="0" collapsed="false">
      <c r="B6" s="15" t="s">
        <v>85</v>
      </c>
      <c r="C6" s="16"/>
      <c r="D6" s="16"/>
      <c r="E6" s="16"/>
      <c r="F6" s="16"/>
      <c r="G6" s="16"/>
    </row>
    <row r="7" customFormat="false" ht="15" hidden="false" customHeight="false" outlineLevel="0" collapsed="false">
      <c r="B7" s="7" t="s">
        <v>86</v>
      </c>
      <c r="C7" s="17" t="n">
        <f aca="false">Inputs!$C$27</f>
        <v>626240</v>
      </c>
      <c r="D7" s="18" t="s">
        <v>87</v>
      </c>
      <c r="E7" s="19" t="n">
        <v>626240</v>
      </c>
      <c r="F7" s="20" t="str">
        <f aca="false">IF(ROUND(C7,0)=E7,"OK","CHECK")</f>
        <v>OK</v>
      </c>
      <c r="G7" s="10" t="s">
        <v>88</v>
      </c>
    </row>
    <row r="8" customFormat="false" ht="22.35" hidden="false" customHeight="false" outlineLevel="0" collapsed="false">
      <c r="B8" s="7" t="s">
        <v>89</v>
      </c>
      <c r="C8" s="21" t="n">
        <f aca="false">Inputs!$C$27/Inputs!$C$6</f>
        <v>0.38</v>
      </c>
      <c r="D8" s="18" t="s">
        <v>90</v>
      </c>
      <c r="E8" s="22" t="n">
        <v>0.38</v>
      </c>
      <c r="F8" s="20" t="str">
        <f aca="false">IF(ROUND(C8,3)=E8,"OK","CHECK")</f>
        <v>OK</v>
      </c>
      <c r="G8" s="10" t="s">
        <v>91</v>
      </c>
    </row>
    <row r="9" customFormat="false" ht="15" hidden="false" customHeight="false" outlineLevel="0" collapsed="false">
      <c r="B9" s="7" t="s">
        <v>92</v>
      </c>
      <c r="C9" s="21" t="n">
        <f aca="false">Inputs!$C$27/Inputs!$C$7</f>
        <v>0.612903225806452</v>
      </c>
      <c r="D9" s="18" t="s">
        <v>93</v>
      </c>
      <c r="E9" s="22" t="n">
        <v>0.613</v>
      </c>
      <c r="F9" s="20" t="str">
        <f aca="false">IF(ROUND(C9,3)=E9,"OK","CHECK")</f>
        <v>OK</v>
      </c>
      <c r="G9" s="10" t="s">
        <v>94</v>
      </c>
    </row>
    <row r="10" customFormat="false" ht="15" hidden="false" customHeight="false" outlineLevel="0" collapsed="false">
      <c r="B10" s="7" t="s">
        <v>95</v>
      </c>
      <c r="C10" s="23" t="n">
        <f aca="false">Inputs!$C$10/Inputs!$C$6</f>
        <v>0.0625</v>
      </c>
      <c r="D10" s="18" t="s">
        <v>96</v>
      </c>
      <c r="E10" s="24" t="n">
        <v>0.0625</v>
      </c>
      <c r="F10" s="20" t="str">
        <f aca="false">IF(ROUND(C10,4)=E10,"OK","CHECK")</f>
        <v>OK</v>
      </c>
      <c r="G10" s="10" t="s">
        <v>97</v>
      </c>
    </row>
    <row r="11" customFormat="false" ht="15" hidden="false" customHeight="false" outlineLevel="0" collapsed="false">
      <c r="B11" s="7" t="s">
        <v>98</v>
      </c>
      <c r="C11" s="25" t="n">
        <f aca="false">Inputs!$C$6/Inputs!$C$14</f>
        <v>40</v>
      </c>
      <c r="D11" s="18" t="s">
        <v>99</v>
      </c>
      <c r="E11" s="26" t="n">
        <v>40</v>
      </c>
      <c r="F11" s="20" t="str">
        <f aca="false">IF(ROUND(C11,2)=E11,"OK","CHECK")</f>
        <v>OK</v>
      </c>
      <c r="G11" s="10" t="s">
        <v>100</v>
      </c>
    </row>
    <row r="12" customFormat="false" ht="15" hidden="false" customHeight="false" outlineLevel="0" collapsed="false">
      <c r="B12" s="7" t="s">
        <v>101</v>
      </c>
      <c r="C12" s="27" t="n">
        <f aca="false">Inputs!$C$15/Inputs!$C$14</f>
        <v>1.8</v>
      </c>
      <c r="D12" s="18" t="s">
        <v>102</v>
      </c>
      <c r="E12" s="28" t="n">
        <v>1.8</v>
      </c>
      <c r="F12" s="20" t="str">
        <f aca="false">IF(ROUND(C12,2)=E12,"OK","CHECK")</f>
        <v>OK</v>
      </c>
      <c r="G12" s="10" t="s">
        <v>103</v>
      </c>
    </row>
    <row r="13" customFormat="false" ht="15" hidden="false" customHeight="false" outlineLevel="0" collapsed="false">
      <c r="B13" s="7" t="s">
        <v>104</v>
      </c>
      <c r="C13" s="21" t="n">
        <f aca="false">Inputs!$C$14/Inputs!$C$17</f>
        <v>0.2</v>
      </c>
      <c r="D13" s="18" t="s">
        <v>105</v>
      </c>
      <c r="E13" s="22" t="n">
        <v>0.2</v>
      </c>
      <c r="F13" s="20" t="str">
        <f aca="false">IF(ROUND(C13,3)=E13,"OK","CHECK")</f>
        <v>OK</v>
      </c>
      <c r="G13" s="10" t="s">
        <v>106</v>
      </c>
    </row>
    <row r="14" customFormat="false" ht="15" hidden="false" customHeight="false" outlineLevel="0" collapsed="false">
      <c r="B14" s="7" t="s">
        <v>107</v>
      </c>
      <c r="C14" s="25" t="n">
        <f aca="false">Inputs!$C$6/Inputs!$C$13</f>
        <v>257.5</v>
      </c>
      <c r="D14" s="18" t="s">
        <v>108</v>
      </c>
      <c r="E14" s="26" t="n">
        <v>257.5</v>
      </c>
      <c r="F14" s="20" t="str">
        <f aca="false">IF(ROUND(C14,2)=E14,"OK","CHECK")</f>
        <v>OK</v>
      </c>
      <c r="G14" s="10" t="s">
        <v>109</v>
      </c>
    </row>
    <row r="15" customFormat="false" ht="15" hidden="false" customHeight="false" outlineLevel="0" collapsed="false">
      <c r="B15" s="7" t="s">
        <v>110</v>
      </c>
      <c r="C15" s="17" t="n">
        <f aca="false">Inputs!$C$6/Inputs!$C$18</f>
        <v>103000</v>
      </c>
      <c r="D15" s="18" t="s">
        <v>111</v>
      </c>
      <c r="E15" s="19" t="n">
        <v>103000</v>
      </c>
      <c r="F15" s="20" t="str">
        <f aca="false">IF(ROUND(C15,0)=E15,"OK","CHECK")</f>
        <v>OK</v>
      </c>
      <c r="G15" s="10" t="s">
        <v>112</v>
      </c>
    </row>
    <row r="16" customFormat="false" ht="15" hidden="false" customHeight="false" outlineLevel="0" collapsed="false">
      <c r="B16" s="15" t="s">
        <v>113</v>
      </c>
      <c r="C16" s="16"/>
      <c r="D16" s="16"/>
      <c r="E16" s="16"/>
      <c r="F16" s="16"/>
      <c r="G16" s="16"/>
    </row>
    <row r="17" customFormat="false" ht="22.35" hidden="false" customHeight="false" outlineLevel="0" collapsed="false">
      <c r="B17" s="7" t="s">
        <v>114</v>
      </c>
      <c r="C17" s="27" t="n">
        <f aca="false">Inputs!$C$7/Inputs!$C$26</f>
        <v>4.00690196078431</v>
      </c>
      <c r="D17" s="18" t="s">
        <v>115</v>
      </c>
      <c r="E17" s="28" t="n">
        <v>4.01</v>
      </c>
      <c r="F17" s="20" t="str">
        <f aca="false">IF(ROUND(C17,2)=E17,"OK","CHECK")</f>
        <v>OK</v>
      </c>
      <c r="G17" s="10" t="s">
        <v>116</v>
      </c>
    </row>
    <row r="18" customFormat="false" ht="15" hidden="false" customHeight="false" outlineLevel="0" collapsed="false">
      <c r="B18" s="7" t="s">
        <v>117</v>
      </c>
      <c r="C18" s="29" t="n">
        <f aca="false">Inputs!$C$23/(Inputs!$C$7/Inputs!$C$26)</f>
        <v>91.092820231757</v>
      </c>
      <c r="D18" s="18" t="s">
        <v>118</v>
      </c>
      <c r="E18" s="30" t="n">
        <v>91</v>
      </c>
      <c r="F18" s="20" t="str">
        <f aca="false">IF(ROUND(C18,0)=E18,"OK","CHECK")</f>
        <v>OK</v>
      </c>
      <c r="G18" s="10" t="s">
        <v>119</v>
      </c>
    </row>
    <row r="19" customFormat="false" ht="15" hidden="false" customHeight="false" outlineLevel="0" collapsed="false">
      <c r="B19" s="7" t="s">
        <v>120</v>
      </c>
      <c r="C19" s="25" t="n">
        <f aca="false">Inputs!$C$27/Inputs!$C$26</f>
        <v>2.4558431372549</v>
      </c>
      <c r="D19" s="18" t="s">
        <v>121</v>
      </c>
      <c r="E19" s="26" t="n">
        <v>2.46</v>
      </c>
      <c r="F19" s="20" t="str">
        <f aca="false">IF(ROUND(C19,2)=E19,"OK","CHECK")</f>
        <v>OK</v>
      </c>
      <c r="G19" s="10" t="s">
        <v>122</v>
      </c>
    </row>
    <row r="20" customFormat="false" ht="15" hidden="false" customHeight="false" outlineLevel="0" collapsed="false">
      <c r="B20" s="7" t="s">
        <v>123</v>
      </c>
      <c r="C20" s="21" t="n">
        <f aca="false">Inputs!$C$15/Inputs!$C$16</f>
        <v>0.842727272727273</v>
      </c>
      <c r="D20" s="18" t="s">
        <v>124</v>
      </c>
      <c r="E20" s="22" t="n">
        <v>0.843</v>
      </c>
      <c r="F20" s="20" t="str">
        <f aca="false">IF(ROUND(C20,3)=E20,"OK","CHECK")</f>
        <v>OK</v>
      </c>
      <c r="G20" s="10" t="s">
        <v>125</v>
      </c>
    </row>
    <row r="21" customFormat="false" ht="22.35" hidden="false" customHeight="false" outlineLevel="0" collapsed="false">
      <c r="B21" s="7" t="s">
        <v>126</v>
      </c>
      <c r="C21" s="17" t="n">
        <f aca="false">Inputs!$C$26/(1-Inputs!$C$27/Inputs!$C$6)</f>
        <v>411290.322580645</v>
      </c>
      <c r="D21" s="18" t="s">
        <v>127</v>
      </c>
      <c r="E21" s="19" t="n">
        <v>411290</v>
      </c>
      <c r="F21" s="20" t="str">
        <f aca="false">IF(ROUND(C21,0)=E21,"OK","CHECK")</f>
        <v>OK</v>
      </c>
      <c r="G21" s="10" t="s">
        <v>128</v>
      </c>
    </row>
    <row r="22" customFormat="false" ht="15" hidden="false" customHeight="false" outlineLevel="0" collapsed="false">
      <c r="B22" s="7" t="s">
        <v>129</v>
      </c>
      <c r="C22" s="27" t="n">
        <f aca="false">(Inputs!$C$26/(1-Inputs!$C$27/Inputs!$C$6))/(Inputs!$C$6/12)</f>
        <v>2.99483244597557</v>
      </c>
      <c r="D22" s="18" t="s">
        <v>130</v>
      </c>
      <c r="E22" s="28" t="n">
        <v>3</v>
      </c>
      <c r="F22" s="20" t="str">
        <f aca="false">IF(ROUND(C22,1)=E22,"OK","CHECK")</f>
        <v>OK</v>
      </c>
      <c r="G22" s="10" t="s">
        <v>131</v>
      </c>
    </row>
    <row r="23" customFormat="false" ht="15" hidden="false" customHeight="false" outlineLevel="0" collapsed="false">
      <c r="B23" s="7" t="s">
        <v>132</v>
      </c>
      <c r="C23" s="27" t="n">
        <f aca="false">(Inputs!$C$26/(1-Inputs!$C$27/Inputs!$C$6))/(Inputs!$C$6/52)</f>
        <v>12.9776072658941</v>
      </c>
      <c r="D23" s="18" t="s">
        <v>133</v>
      </c>
      <c r="E23" s="28" t="n">
        <v>13</v>
      </c>
      <c r="F23" s="20" t="str">
        <f aca="false">IF(ROUND(C23,1)=E23,"OK","CHECK")</f>
        <v>OK</v>
      </c>
      <c r="G23" s="10" t="s">
        <v>134</v>
      </c>
    </row>
    <row r="24" customFormat="false" ht="15" hidden="false" customHeight="false" outlineLevel="0" collapsed="false">
      <c r="B24" s="15" t="s">
        <v>135</v>
      </c>
      <c r="C24" s="16"/>
      <c r="D24" s="16"/>
      <c r="E24" s="16"/>
      <c r="F24" s="16"/>
      <c r="G24" s="16"/>
    </row>
    <row r="25" customFormat="false" ht="15" hidden="false" customHeight="false" outlineLevel="0" collapsed="false">
      <c r="B25" s="7" t="s">
        <v>136</v>
      </c>
      <c r="C25" s="21" t="n">
        <f aca="false">Inputs!$C$7/Inputs!$C$6</f>
        <v>0.62</v>
      </c>
      <c r="D25" s="18" t="s">
        <v>137</v>
      </c>
      <c r="E25" s="22" t="n">
        <v>0.62</v>
      </c>
      <c r="F25" s="20" t="str">
        <f aca="false">IF(ROUND(C25,3)=E25,"OK","CHECK")</f>
        <v>OK</v>
      </c>
      <c r="G25" s="10" t="s">
        <v>138</v>
      </c>
    </row>
    <row r="26" customFormat="false" ht="22.35" hidden="false" customHeight="false" outlineLevel="0" collapsed="false">
      <c r="B26" s="7" t="s">
        <v>139</v>
      </c>
      <c r="C26" s="21" t="n">
        <f aca="false">Inputs!$C$12/Inputs!$C$6</f>
        <v>0.015</v>
      </c>
      <c r="D26" s="18" t="s">
        <v>140</v>
      </c>
      <c r="E26" s="22" t="n">
        <v>0.015</v>
      </c>
      <c r="F26" s="20" t="str">
        <f aca="false">IF(ROUND(C26,3)=E26,"OK","CHECK")</f>
        <v>OK</v>
      </c>
      <c r="G26" s="10" t="s">
        <v>141</v>
      </c>
    </row>
    <row r="27" customFormat="false" ht="15" hidden="false" customHeight="false" outlineLevel="0" collapsed="false">
      <c r="B27" s="7" t="s">
        <v>142</v>
      </c>
      <c r="C27" s="21" t="n">
        <f aca="false">Inputs!$C$11/Inputs!$C$6</f>
        <v>0.13</v>
      </c>
      <c r="D27" s="18" t="s">
        <v>143</v>
      </c>
      <c r="E27" s="22" t="n">
        <v>0.13</v>
      </c>
      <c r="F27" s="20" t="str">
        <f aca="false">IF(ROUND(C27,3)=E27,"OK","CHECK")</f>
        <v>OK</v>
      </c>
      <c r="G27" s="10" t="s">
        <v>144</v>
      </c>
    </row>
    <row r="28" customFormat="false" ht="15" hidden="false" customHeight="false" outlineLevel="0" collapsed="false">
      <c r="B28" s="15" t="s">
        <v>145</v>
      </c>
      <c r="C28" s="16"/>
      <c r="D28" s="16"/>
      <c r="E28" s="16"/>
      <c r="F28" s="16"/>
      <c r="G28" s="16"/>
    </row>
    <row r="29" customFormat="false" ht="15" hidden="false" customHeight="false" outlineLevel="0" collapsed="false">
      <c r="B29" s="7" t="s">
        <v>146</v>
      </c>
      <c r="C29" s="21" t="n">
        <f aca="false">Inputs!$C$20/Inputs!$C$19</f>
        <v>0.890322580645161</v>
      </c>
      <c r="D29" s="18" t="s">
        <v>147</v>
      </c>
      <c r="E29" s="22" t="n">
        <v>0.89</v>
      </c>
      <c r="F29" s="20" t="str">
        <f aca="false">IF(ROUND(C29,3)=E29,"OK","CHECK")</f>
        <v>OK</v>
      </c>
      <c r="G29" s="10" t="s">
        <v>148</v>
      </c>
    </row>
    <row r="30" customFormat="false" ht="15" hidden="false" customHeight="false" outlineLevel="0" collapsed="false">
      <c r="B30" s="7" t="s">
        <v>149</v>
      </c>
      <c r="C30" s="21" t="n">
        <f aca="false">Inputs!$C$22/Inputs!$C$21</f>
        <v>0.955</v>
      </c>
      <c r="D30" s="18" t="s">
        <v>150</v>
      </c>
      <c r="E30" s="22" t="n">
        <v>0.955</v>
      </c>
      <c r="F30" s="20" t="str">
        <f aca="false">IF(ROUND(C30,3)=E30,"OK","CHECK")</f>
        <v>OK</v>
      </c>
      <c r="G30" s="10" t="s">
        <v>151</v>
      </c>
    </row>
    <row r="32" customFormat="false" ht="15" hidden="false" customHeight="false" outlineLevel="0" collapsed="false">
      <c r="B32" s="4" t="s">
        <v>152</v>
      </c>
    </row>
    <row r="33" customFormat="false" ht="15" hidden="false" customHeight="false" outlineLevel="0" collapsed="false">
      <c r="B33" s="31" t="s">
        <v>153</v>
      </c>
      <c r="C33" s="32" t="n">
        <f aca="false">(Inputs!$C$27/Inputs!$C$6)/(1-Inputs!$C$27/Inputs!$C$6)</f>
        <v>0.612903225806452</v>
      </c>
      <c r="D33" s="33" t="s">
        <v>154</v>
      </c>
      <c r="G33" s="3" t="s">
        <v>155</v>
      </c>
    </row>
    <row r="34" customFormat="false" ht="15" hidden="false" customHeight="false" outlineLevel="0" collapsed="false">
      <c r="B34" s="31" t="s">
        <v>156</v>
      </c>
      <c r="C34" s="32" t="n">
        <f aca="false">Inputs!$C$7/Inputs!$C$26</f>
        <v>4.00690196078431</v>
      </c>
      <c r="D34" s="33" t="s">
        <v>115</v>
      </c>
      <c r="G34" s="3" t="s">
        <v>157</v>
      </c>
    </row>
    <row r="35" customFormat="false" ht="15" hidden="false" customHeight="false" outlineLevel="0" collapsed="false">
      <c r="B35" s="34" t="s">
        <v>158</v>
      </c>
      <c r="C35" s="35" t="n">
        <f aca="false">C33*C34</f>
        <v>2.4558431372549</v>
      </c>
      <c r="D35" s="33" t="s">
        <v>159</v>
      </c>
      <c r="G35" s="3" t="s">
        <v>160</v>
      </c>
    </row>
    <row r="37" customFormat="false" ht="15" hidden="false" customHeight="false" outlineLevel="0" collapsed="false">
      <c r="B37" s="3" t="s">
        <v>161</v>
      </c>
    </row>
    <row r="38" customFormat="false" ht="15" hidden="false" customHeight="false" outlineLevel="0" collapsed="false">
      <c r="B38" s="3" t="s">
        <v>162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04"/>
  </cols>
  <sheetData>
    <row r="2" customFormat="false" ht="17.35" hidden="false" customHeight="false" outlineLevel="0" collapsed="false">
      <c r="B2" s="1" t="s">
        <v>163</v>
      </c>
    </row>
    <row r="3" customFormat="false" ht="15" hidden="false" customHeight="false" outlineLevel="0" collapsed="false">
      <c r="B3" s="3" t="s">
        <v>164</v>
      </c>
    </row>
    <row r="5" customFormat="false" ht="15" hidden="false" customHeight="false" outlineLevel="0" collapsed="false">
      <c r="B5" s="2" t="s">
        <v>165</v>
      </c>
      <c r="C5" s="4" t="s">
        <v>166</v>
      </c>
    </row>
    <row r="6" customFormat="false" ht="15" hidden="false" customHeight="false" outlineLevel="0" collapsed="false">
      <c r="C6" s="31" t="s">
        <v>167</v>
      </c>
    </row>
    <row r="7" customFormat="false" ht="15" hidden="false" customHeight="false" outlineLevel="0" collapsed="false">
      <c r="C7" s="31" t="s">
        <v>168</v>
      </c>
    </row>
    <row r="8" customFormat="false" ht="15" hidden="false" customHeight="false" outlineLevel="0" collapsed="false">
      <c r="C8" s="31" t="s">
        <v>169</v>
      </c>
    </row>
    <row r="9" customFormat="false" ht="15" hidden="false" customHeight="false" outlineLevel="0" collapsed="false">
      <c r="C9" s="31" t="s">
        <v>170</v>
      </c>
    </row>
    <row r="11" customFormat="false" ht="15" hidden="false" customHeight="false" outlineLevel="0" collapsed="false">
      <c r="B11" s="2" t="s">
        <v>171</v>
      </c>
      <c r="C11" s="4" t="s">
        <v>172</v>
      </c>
    </row>
    <row r="12" customFormat="false" ht="15" hidden="false" customHeight="false" outlineLevel="0" collapsed="false">
      <c r="C12" s="31" t="s">
        <v>173</v>
      </c>
    </row>
    <row r="13" customFormat="false" ht="15" hidden="false" customHeight="false" outlineLevel="0" collapsed="false">
      <c r="C13" s="31" t="s">
        <v>174</v>
      </c>
    </row>
    <row r="14" customFormat="false" ht="15" hidden="false" customHeight="false" outlineLevel="0" collapsed="false">
      <c r="C14" s="31" t="s">
        <v>175</v>
      </c>
    </row>
    <row r="16" customFormat="false" ht="15" hidden="false" customHeight="false" outlineLevel="0" collapsed="false">
      <c r="B16" s="2" t="s">
        <v>176</v>
      </c>
      <c r="C16" s="4" t="s">
        <v>177</v>
      </c>
    </row>
    <row r="17" customFormat="false" ht="15" hidden="false" customHeight="false" outlineLevel="0" collapsed="false">
      <c r="C17" s="31" t="s">
        <v>178</v>
      </c>
    </row>
    <row r="18" customFormat="false" ht="15" hidden="false" customHeight="false" outlineLevel="0" collapsed="false">
      <c r="C18" s="31" t="s">
        <v>179</v>
      </c>
    </row>
    <row r="19" customFormat="false" ht="15" hidden="false" customHeight="false" outlineLevel="0" collapsed="false">
      <c r="C19" s="31" t="s">
        <v>180</v>
      </c>
    </row>
    <row r="21" customFormat="false" ht="15" hidden="false" customHeight="false" outlineLevel="0" collapsed="false">
      <c r="B21" s="4" t="s">
        <v>181</v>
      </c>
    </row>
    <row r="22" customFormat="false" ht="15" hidden="false" customHeight="false" outlineLevel="0" collapsed="false">
      <c r="C22" s="31" t="s">
        <v>182</v>
      </c>
    </row>
    <row r="23" customFormat="false" ht="15" hidden="false" customHeight="false" outlineLevel="0" collapsed="false">
      <c r="C23" s="31" t="s">
        <v>183</v>
      </c>
    </row>
    <row r="24" customFormat="false" ht="15" hidden="false" customHeight="false" outlineLevel="0" collapsed="false">
      <c r="C24" s="31" t="s">
        <v>184</v>
      </c>
    </row>
    <row r="25" customFormat="false" ht="15" hidden="false" customHeight="false" outlineLevel="0" collapsed="false">
      <c r="C25" s="31" t="s">
        <v>185</v>
      </c>
    </row>
    <row r="26" customFormat="false" ht="15" hidden="false" customHeight="false" outlineLevel="0" collapsed="false">
      <c r="C26" s="3"/>
    </row>
    <row r="27" customFormat="false" ht="15" hidden="false" customHeight="false" outlineLevel="0" collapsed="false">
      <c r="C27" s="31" t="s">
        <v>186</v>
      </c>
    </row>
    <row r="28" customFormat="false" ht="15" hidden="false" customHeight="false" outlineLevel="0" collapsed="false">
      <c r="C28" s="31" t="s">
        <v>187</v>
      </c>
    </row>
    <row r="29" customFormat="false" ht="15" hidden="false" customHeight="false" outlineLevel="0" collapsed="false">
      <c r="C29" s="31" t="s">
        <v>188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2026-09-10T08:21:03Z</dcterms:created>
  <dc:creator>openpyxl</dc:creator>
  <dc:description/>
  <dc:language>en-US</dc:language>
  <cp:lastModifiedBy/>
  <dcterms:modified xsi:type="dcterms:W3CDTF">2026-09-10T08:21:03Z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